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<sst xmlns="http://schemas.openxmlformats.org/spreadsheetml/2006/main" count="47" uniqueCount="46">
  <si>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Species</t>
  </si>
  <si>
    <t xml:space="preserve"> Electrons</t>
  </si>
  <si>
    <t>Energy</t>
  </si>
  <si>
    <t xml:space="preserve"> 1.2GeV-10GeV(20,30GeV)</t>
  </si>
  <si>
    <t>20mm.mrad normalised electrons</t>
  </si>
  <si>
    <t>Emittance (normalised)</t>
  </si>
  <si>
    <t xml:space="preserve"> 1.2 mm.mrad 95% (protons)</t>
  </si>
  <si>
    <t>(Geometric emittances should be the same for different energy protons, protons at 50-250GeV)</t>
  </si>
  <si>
    <t>Proton normalised emittance is 1.2mm.mrad</t>
  </si>
  <si>
    <t>Worst case: 50GeV p vs. 20GeV e-</t>
  </si>
  <si>
    <t>240m radius of tunnel</t>
  </si>
  <si>
    <t xml:space="preserve">Equal energy would be </t>
  </si>
  <si>
    <t>m.rad (norm,e-)</t>
  </si>
  <si>
    <t>Have to open vacuum chamber horizontally to let synchrotron light out</t>
  </si>
  <si>
    <t>“Worst case”:</t>
  </si>
  <si>
    <t>FDFO lattice</t>
  </si>
  <si>
    <t>k (m^-1)</t>
  </si>
  <si>
    <t>F length</t>
  </si>
  <si>
    <t>D length</t>
  </si>
  <si>
    <t>O length</t>
  </si>
  <si>
    <t>Cell length</t>
  </si>
  <si>
    <t>Bending/theo. Max</t>
  </si>
  <si>
    <t>Packing factor</t>
  </si>
  <si>
    <t>Electron Energy (GeV)</t>
  </si>
  <si>
    <t>Tunnel bending radius (arcs)</t>
  </si>
  <si>
    <t>Magnet bending radius</t>
  </si>
  <si>
    <t>Magnet dipole field (T)</t>
  </si>
  <si>
    <t>Magnet gradient (T/m)</t>
  </si>
  <si>
    <t>enorm electrons</t>
  </si>
  <si>
    <t>beta (m)</t>
  </si>
  <si>
    <t>Orbit excursion at GeV</t>
  </si>
  <si>
    <t>delta y</t>
  </si>
  <si>
    <t>gamma (Electrons)</t>
  </si>
  <si>
    <t>beta</t>
  </si>
  <si>
    <t>Path length error</t>
  </si>
  <si>
    <t>TOF error (s)</t>
  </si>
  <si>
    <t>egeom electrons</t>
  </si>
  <si>
    <t xml:space="preserve">beam radius </t>
  </si>
  <si>
    <t>1.1 GeV per orbit</t>
  </si>
  <si>
    <t>turns</t>
  </si>
  <si>
    <t>Dynamic aperture</t>
  </si>
  <si>
    <t>Reading from the graph, &gt;1% transmission of 150 mm.mrad per plane</t>
  </si>
  <si>
    <t>15 mm.mrad per plane</t>
  </si>
  <si>
    <t>geometric, 800MeV protons</t>
  </si>
  <si>
    <t>mm.mrad geometric</t>
  </si>
  <si>
    <t>scaled to new 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</si>
</sst>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0.57421875" style="0" customWidth="1"/>
    <col min="2" max="2" width="25.140625" style="0" customWidth="1"/>
    <col min="3" max="16384" width="11.57421875" style="0" customWidth="1"/>
  </cols>
  <sheetData>
    <row r="1" spans="1:2" ht="13.5">
      <c r="A1" t="s">
        <v>0</v>
      </c>
      <c r="B1" t="s">
        <v>1</v>
      </c>
    </row>
    <row r="2" spans="1:4" ht="13.5">
      <c r="A2" t="s">
        <v>2</v>
      </c>
      <c r="B2" t="s">
        <v>3</v>
      </c>
      <c r="D2" t="s">
        <v>4</v>
      </c>
    </row>
    <row r="3" spans="1:3" ht="13.5">
      <c r="A3" t="s">
        <v>5</v>
      </c>
      <c r="B3" t="s">
        <v>6</v>
      </c>
      <c r="C3" t="s">
        <v>7</v>
      </c>
    </row>
    <row r="4" spans="3:7" ht="13.5">
      <c r="C4" t="s">
        <v>8</v>
      </c>
      <c r="G4" t="s">
        <v>9</v>
      </c>
    </row>
    <row r="5" spans="2:9" ht="13.5">
      <c r="B5" t="s">
        <v>10</v>
      </c>
      <c r="G5" t="s">
        <v>11</v>
      </c>
      <c r="H5">
        <f>0.0000012*1836</f>
        <v>0.0022031999999999998</v>
      </c>
      <c r="I5" t="s">
        <v>12</v>
      </c>
    </row>
    <row r="6" spans="2:9" ht="13.5">
      <c r="B6" t="s">
        <v>13</v>
      </c>
      <c r="G6" t="s">
        <v>14</v>
      </c>
      <c r="H6">
        <f>H5*2/5</f>
        <v>0.0008812799999999999</v>
      </c>
      <c r="I6" t="s">
        <v>12</v>
      </c>
    </row>
    <row r="7" spans="1:5" ht="13.5">
      <c r="A7" t="s">
        <v>15</v>
      </c>
      <c r="B7">
        <v>2</v>
      </c>
      <c r="C7">
        <v>2</v>
      </c>
      <c r="D7">
        <v>4</v>
      </c>
      <c r="E7">
        <f>B7+C7+B7+D7</f>
        <v>10</v>
      </c>
    </row>
    <row r="8" spans="1:7" ht="13.5">
      <c r="A8" t="s">
        <v>16</v>
      </c>
      <c r="B8" t="s">
        <v>17</v>
      </c>
      <c r="C8" t="s">
        <v>18</v>
      </c>
      <c r="D8" t="s">
        <v>19</v>
      </c>
      <c r="E8" t="s">
        <v>20</v>
      </c>
      <c r="F8" t="s">
        <v>21</v>
      </c>
      <c r="G8" t="s">
        <v>22</v>
      </c>
    </row>
    <row r="9" spans="1:7" ht="13.5">
      <c r="A9">
        <v>100</v>
      </c>
      <c r="B9">
        <v>1.23</v>
      </c>
      <c r="C9">
        <v>1.3</v>
      </c>
      <c r="D9">
        <v>2.507</v>
      </c>
      <c r="E9">
        <f>B9+C9+B9+D9</f>
        <v>6.267</v>
      </c>
      <c r="F9">
        <f>(B9-C9+B9)/E9</f>
        <v>0.1850965374182224</v>
      </c>
      <c r="G9">
        <f>(B9+C9+B9)/E9</f>
        <v>0.5999680868038935</v>
      </c>
    </row>
    <row r="10" spans="1:9" ht="13.5">
      <c r="A10" t="s">
        <v>23</v>
      </c>
      <c r="B10" t="s">
        <v>24</v>
      </c>
      <c r="C10" t="s">
        <v>25</v>
      </c>
      <c r="D10" t="s">
        <v>26</v>
      </c>
      <c r="E10" t="s">
        <v>27</v>
      </c>
      <c r="H10" t="s">
        <v>28</v>
      </c>
      <c r="I10" t="s">
        <v>29</v>
      </c>
    </row>
    <row r="11" spans="1:9" ht="13.5">
      <c r="A11">
        <v>10</v>
      </c>
      <c r="B11">
        <v>378.26</v>
      </c>
      <c r="C11">
        <f>B11*F9</f>
        <v>70.0146162438168</v>
      </c>
      <c r="D11">
        <f>(A11*1000000000/299792458)/C11</f>
        <v>0.47642065770461184</v>
      </c>
      <c r="E11">
        <f>D11*A9</f>
        <v>47.64206577046119</v>
      </c>
      <c r="H11" s="1">
        <v>1.9999999999999998E-05</v>
      </c>
      <c r="I11">
        <v>20</v>
      </c>
    </row>
    <row r="12" spans="1:9" ht="13.5">
      <c r="A12" t="s">
        <v>30</v>
      </c>
      <c r="C12" t="s">
        <v>31</v>
      </c>
      <c r="D12" t="s">
        <v>32</v>
      </c>
      <c r="E12" t="s">
        <v>33</v>
      </c>
      <c r="F12" t="s">
        <v>34</v>
      </c>
      <c r="G12" t="s">
        <v>35</v>
      </c>
      <c r="H12" t="s">
        <v>36</v>
      </c>
      <c r="I12" t="s">
        <v>37</v>
      </c>
    </row>
    <row r="13" spans="1:9" ht="13.5">
      <c r="A13">
        <v>1.2</v>
      </c>
      <c r="B13">
        <f>LN(A13)/$A$9</f>
        <v>0.0018232155679395459</v>
      </c>
      <c r="C13">
        <f>B13-B$13</f>
        <v>0</v>
      </c>
      <c r="D13">
        <f>A13/0.000511</f>
        <v>2348.3365949119375</v>
      </c>
      <c r="E13">
        <f>SQRT(1-D13^-2)</f>
        <v>0.999999909332982</v>
      </c>
      <c r="F13">
        <f>(1-E13)*$B$11*2*PI()</f>
        <v>0.00021548627748615838</v>
      </c>
      <c r="G13">
        <f>F13/299792458</f>
        <v>7.187848517728834E-13</v>
      </c>
      <c r="H13">
        <f>$H$11/(E13*D13)</f>
        <v>8.516667438847506E-09</v>
      </c>
      <c r="I13">
        <f>SQRT(H13*$I$11)</f>
        <v>0.00041271460935730166</v>
      </c>
    </row>
    <row r="14" spans="1:9" ht="13.5">
      <c r="A14">
        <f>A13+$B$21</f>
        <v>2.3</v>
      </c>
      <c r="B14">
        <f>LN(A14)/$A$9</f>
        <v>0.008329091229351038</v>
      </c>
      <c r="C14">
        <f>B14-B$13</f>
        <v>0.006505875661411493</v>
      </c>
      <c r="D14">
        <f>A14/0.000511</f>
        <v>4500.978473581214</v>
      </c>
      <c r="E14">
        <f>SQRT(1-D14^-2)</f>
        <v>0.9999999753193759</v>
      </c>
      <c r="F14">
        <f>(1-E14)*$B$11*2*PI()</f>
        <v>5.8657888286089776E-05</v>
      </c>
      <c r="G14">
        <f>F14/299792458</f>
        <v>1.9566165432383817E-13</v>
      </c>
      <c r="H14">
        <f>$H$11/(E14*D14)</f>
        <v>4.443478370537384E-09</v>
      </c>
      <c r="I14">
        <f>SQRT(H14*$I$11)</f>
        <v>0.00029810999213503007</v>
      </c>
    </row>
    <row r="15" spans="1:9" ht="13.5">
      <c r="A15">
        <f>A14+$B$21</f>
        <v>3.4</v>
      </c>
      <c r="B15">
        <f>LN(A15)/$A$9</f>
        <v>0.012237754316221157</v>
      </c>
      <c r="C15">
        <f>B15-B$13</f>
        <v>0.010414538748281611</v>
      </c>
      <c r="D15">
        <f>A15/0.000511</f>
        <v>6653.620352250489</v>
      </c>
      <c r="E15">
        <f>SQRT(1-D15^-2)</f>
        <v>0.9999999887058391</v>
      </c>
      <c r="F15">
        <f>(1-E15)*$B$11*2*PI()</f>
        <v>2.6842580155531842E-05</v>
      </c>
      <c r="G15">
        <f>F15/299792458</f>
        <v>8.95372096236385E-14</v>
      </c>
      <c r="H15">
        <f>$H$11/(E15*D15)</f>
        <v>3.0058823868900954E-09</v>
      </c>
      <c r="I15">
        <f>SQRT(H15*$I$11)</f>
        <v>0.0002451890041127495</v>
      </c>
    </row>
    <row r="16" spans="1:9" ht="13.5">
      <c r="A16">
        <f>A15+$B$21</f>
        <v>4.5</v>
      </c>
      <c r="B16">
        <f>LN(A16)/$A$9</f>
        <v>0.015040773967762742</v>
      </c>
      <c r="C16">
        <f>B16-B$13</f>
        <v>0.013217558399823196</v>
      </c>
      <c r="D16">
        <f>A16/0.000511</f>
        <v>8806.262230919767</v>
      </c>
      <c r="E16">
        <f>SQRT(1-D16^-2)</f>
        <v>0.9999999935525679</v>
      </c>
      <c r="F16">
        <f>(1-E16)*$B$11*2*PI()</f>
        <v>1.532346803252752E-05</v>
      </c>
      <c r="G16">
        <f>F16/299792458</f>
        <v>5.11135874956785E-14</v>
      </c>
      <c r="H16">
        <f>$H$11/(E16*D16)</f>
        <v>2.2711111257539453E-09</v>
      </c>
      <c r="I16">
        <f>SQRT(H16*$I$11)</f>
        <v>0.00021312489886233122</v>
      </c>
    </row>
    <row r="17" spans="1:9" ht="13.5">
      <c r="A17">
        <f>A18-$B$21</f>
        <v>7.800000000000001</v>
      </c>
      <c r="B17">
        <f>LN(A17)/$A$9</f>
        <v>0.020541237336955464</v>
      </c>
      <c r="C17">
        <f>B17-B$13</f>
        <v>0.01871802176901592</v>
      </c>
      <c r="D17">
        <f>A17/0.000511</f>
        <v>15264.187866927596</v>
      </c>
      <c r="E17">
        <f>SQRT(1-D17^-2)</f>
        <v>0.9999999978540351</v>
      </c>
      <c r="F17">
        <f>(1-E17)*$B$11*2*PI()</f>
        <v>5.100266749442037E-06</v>
      </c>
      <c r="G17">
        <f>F17/299792458</f>
        <v>1.7012658635468533E-14</v>
      </c>
      <c r="H17">
        <f>$H$11/(E17*D17)</f>
        <v>1.3102564130681741E-09</v>
      </c>
      <c r="I17">
        <f>SQRT(H17*$I$11)</f>
        <v>0.0001618799810395451</v>
      </c>
    </row>
    <row r="18" spans="1:9" ht="13.5">
      <c r="A18">
        <f>A19-$B$21</f>
        <v>8.9</v>
      </c>
      <c r="B18">
        <f>LN(A18)/$A$9</f>
        <v>0.021860512767380942</v>
      </c>
      <c r="C18">
        <f>B18-B$13</f>
        <v>0.020037297199441396</v>
      </c>
      <c r="D18">
        <f>A18/0.000511</f>
        <v>17416.82974559687</v>
      </c>
      <c r="E18">
        <f>SQRT(1-D18^-2)</f>
        <v>0.9999999983517169</v>
      </c>
      <c r="F18">
        <f>(1-E18)*$B$11*2*PI()</f>
        <v>3.917437562908318E-06</v>
      </c>
      <c r="G18">
        <f>F18/299792458</f>
        <v>1.306716516166767E-14</v>
      </c>
      <c r="H18">
        <f>$H$11/(E18*D18)</f>
        <v>1.1483146086343203E-09</v>
      </c>
      <c r="I18">
        <f>SQRT(H18*$I$11)</f>
        <v>0.0001515463367181352</v>
      </c>
    </row>
    <row r="19" spans="1:9" ht="13.5">
      <c r="A19">
        <f>A11</f>
        <v>10</v>
      </c>
      <c r="B19">
        <f>LN(A19)/$A$9</f>
        <v>0.02302585092994046</v>
      </c>
      <c r="C19">
        <f>B19-B$13</f>
        <v>0.021202635362000913</v>
      </c>
      <c r="D19">
        <f>A19/0.000511</f>
        <v>19569.471624266145</v>
      </c>
      <c r="E19">
        <f>SQRT(1-D19^-2)</f>
        <v>0.9999999986943949</v>
      </c>
      <c r="F19">
        <f>(1-E19)*$B$11*2*PI()</f>
        <v>3.1030024177541845E-06</v>
      </c>
      <c r="G19">
        <f>F19/299792458</f>
        <v>1.0350501938758528E-14</v>
      </c>
      <c r="H19">
        <f>$H$11/(E19*D19)</f>
        <v>1.0220000013343283E-09</v>
      </c>
      <c r="I19">
        <f>SQRT(H19*$I$11)</f>
        <v>0.00014296852809862233</v>
      </c>
    </row>
    <row r="21" spans="1:4" ht="13.5">
      <c r="A21" t="s">
        <v>38</v>
      </c>
      <c r="B21">
        <v>1.1</v>
      </c>
      <c r="C21">
        <v>8</v>
      </c>
      <c r="D21" t="s">
        <v>39</v>
      </c>
    </row>
    <row r="24" ht="13.5">
      <c r="A24" t="s">
        <v>40</v>
      </c>
    </row>
    <row r="25" ht="13.5">
      <c r="A25" t="s">
        <v>41</v>
      </c>
    </row>
    <row r="26" spans="1:2" ht="13.5">
      <c r="A26" t="s">
        <v>42</v>
      </c>
      <c r="B26" t="s">
        <v>43</v>
      </c>
    </row>
    <row r="27" spans="1:3" ht="13.5">
      <c r="A27">
        <f>15*5/A9</f>
        <v>0.75</v>
      </c>
      <c r="B27" t="s">
        <v>44</v>
      </c>
      <c r="C27" t="s">
        <v>45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2013-04-08T17:27:40Z</dcterms:modified>
  <cp:category/>
  <cp:version/>
  <cp:contentType/>
  <cp:contentStatus/>
  <cp:revision>11</cp:revision>
</cp:coreProperties>
</file>