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brooks\report\2024-2\"/>
    </mc:Choice>
  </mc:AlternateContent>
  <xr:revisionPtr revIDLastSave="0" documentId="13_ncr:1_{294C35B4-4D8C-4976-B37F-D5E2D7643831}" xr6:coauthVersionLast="47" xr6:coauthVersionMax="47" xr10:uidLastSave="{00000000-0000-0000-0000-000000000000}"/>
  <bookViews>
    <workbookView xWindow="9852" yWindow="1440" windowWidth="19896" windowHeight="13032" xr2:uid="{0570A6C2-6198-4EC4-A70E-C96B47E5297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" l="1"/>
  <c r="W23" i="1"/>
  <c r="W24" i="1"/>
  <c r="W25" i="1"/>
  <c r="W21" i="1"/>
  <c r="Q22" i="1"/>
  <c r="Q23" i="1"/>
  <c r="Q24" i="1"/>
  <c r="Q25" i="1"/>
  <c r="Q21" i="1"/>
  <c r="C21" i="1"/>
  <c r="C22" i="1"/>
  <c r="C23" i="1"/>
  <c r="C24" i="1"/>
  <c r="C25" i="1"/>
  <c r="J22" i="1"/>
  <c r="J23" i="1"/>
  <c r="J24" i="1"/>
  <c r="J25" i="1"/>
  <c r="J21" i="1"/>
  <c r="C29" i="1"/>
  <c r="C30" i="1"/>
  <c r="C31" i="1"/>
  <c r="C28" i="1"/>
  <c r="C27" i="1"/>
  <c r="AE8" i="1"/>
  <c r="AF8" i="1" s="1"/>
  <c r="AE7" i="1"/>
  <c r="AF7" i="1" s="1"/>
  <c r="AE6" i="1"/>
  <c r="AF6" i="1" s="1"/>
  <c r="AE5" i="1"/>
  <c r="AF5" i="1" s="1"/>
  <c r="AE4" i="1"/>
  <c r="AF4" i="1" s="1"/>
  <c r="AF3" i="1"/>
  <c r="AE3" i="1"/>
  <c r="AB8" i="1"/>
  <c r="I8" i="1"/>
  <c r="H8" i="1"/>
  <c r="G8" i="1"/>
  <c r="P8" i="1"/>
  <c r="O8" i="1"/>
  <c r="N8" i="1"/>
  <c r="M8" i="1"/>
  <c r="P7" i="1"/>
  <c r="O7" i="1"/>
  <c r="N7" i="1"/>
  <c r="M7" i="1"/>
  <c r="K7" i="1"/>
  <c r="J7" i="1"/>
  <c r="P6" i="1"/>
  <c r="O6" i="1"/>
  <c r="N6" i="1"/>
  <c r="M6" i="1"/>
  <c r="K6" i="1"/>
  <c r="J6" i="1"/>
  <c r="P5" i="1" l="1"/>
  <c r="O5" i="1"/>
  <c r="N5" i="1"/>
  <c r="M5" i="1"/>
  <c r="K5" i="1"/>
  <c r="J5" i="1"/>
  <c r="O4" i="1"/>
  <c r="N4" i="1"/>
  <c r="P4" i="1" s="1"/>
  <c r="K4" i="1"/>
  <c r="J4" i="1"/>
  <c r="P3" i="1"/>
  <c r="M3" i="1"/>
  <c r="M4" i="1" l="1"/>
</calcChain>
</file>

<file path=xl/sharedStrings.xml><?xml version="1.0" encoding="utf-8"?>
<sst xmlns="http://schemas.openxmlformats.org/spreadsheetml/2006/main" count="73" uniqueCount="46">
  <si>
    <t>Option</t>
  </si>
  <si>
    <t>Lattice</t>
  </si>
  <si>
    <t>A</t>
  </si>
  <si>
    <t>B</t>
  </si>
  <si>
    <t>C</t>
  </si>
  <si>
    <t>D</t>
  </si>
  <si>
    <t>E</t>
  </si>
  <si>
    <t>Constraints</t>
  </si>
  <si>
    <t>Qmin</t>
  </si>
  <si>
    <t>Qmax</t>
  </si>
  <si>
    <t>Dec'22_east_halbachopt (run 4)</t>
  </si>
  <si>
    <t>Dec'22_east_halbachoptsext</t>
  </si>
  <si>
    <t>Sextupole_halbachopt9-21_tune39-04</t>
  </si>
  <si>
    <t>Sextupole_halbachopt9-21_tune32-05</t>
  </si>
  <si>
    <t>Emin (MeV)</t>
  </si>
  <si>
    <t>Emax (MeV)</t>
  </si>
  <si>
    <t>BD</t>
  </si>
  <si>
    <t>BF</t>
  </si>
  <si>
    <t>Drifts</t>
  </si>
  <si>
    <t>Geometry: Lengths (m)</t>
  </si>
  <si>
    <t>Gradient (T/m)</t>
  </si>
  <si>
    <t>Sextupole (T/m^2)</t>
  </si>
  <si>
    <t>Results</t>
  </si>
  <si>
    <t>Orbit excursion (m)</t>
  </si>
  <si>
    <t>Average magnet area (cm^2)</t>
  </si>
  <si>
    <t>Magnet areas</t>
  </si>
  <si>
    <t>|B|max_midl (T)</t>
  </si>
  <si>
    <t>Radius (m)</t>
  </si>
  <si>
    <t>{MatchScan Estart Egoal Estep Species=Electron FOM=HalbachAvgArea PoleSpacing=8mm Halbach_Br=1.248 Halbach_yoval=8mm Halbach_wedges=24 Halbach_thmidplane=12° Halbach_ymidplane=3mm TuneMin=0.035 TuneMax=0.4 AllowUnstable=0}</t>
  </si>
  <si>
    <t>Dipole (T)</t>
  </si>
  <si>
    <t>{MatchScan Estart Egoal Estep Species=Electron FOM=HalbachAvgArea PoleSpacing=8mm Halbach_Br=1.248 Halbach_yoval=8mm Halbach_wedges=24 Halbach_thmidplane=12° Halbach_ymidplane=3mm TuneMin=0.04 TuneMax=0.39 AllowUnstable=0}</t>
  </si>
  <si>
    <t>{MatchScan Estart Egoal Estep Species=Electron FOM=HalbachAvgArea PoleSpacing=8mm Halbach_Br=1.248 Halbach_yoval=8mm Halbach_wedges=24 Halbach_thmidplane=12° Halbach_ymidplane=3mm TuneMin=0.05 TuneMax=0.32 AllowUnstable=0}</t>
  </si>
  <si>
    <t>Cell</t>
  </si>
  <si>
    <t>Angles (rad) corners either side, half this field each</t>
  </si>
  <si>
    <t xml:space="preserve">F? </t>
  </si>
  <si>
    <t>Fields: Dipole (T)</t>
  </si>
  <si>
    <t>Constraints: Max fields</t>
  </si>
  <si>
    <t>Path length max-min (m)</t>
  </si>
  <si>
    <t>Sextupole_20240111</t>
  </si>
  <si>
    <t>Actuals not contraints</t>
  </si>
  <si>
    <t>Dec'22_east / Dec'22_east_halbachtest</t>
  </si>
  <si>
    <t>{MatchScan Estart Egoal Estep Species=Electron FOM=HalbachAvgArea PoleSpacing=8mm Halbach_Br=1.248 Halbach_yoval=8mm Halbach_wedges=24 Halbach_thmidplane=12° Halbach_ymidplane=3mm AllowUnstable=1}</t>
  </si>
  <si>
    <t>Dec'22_east_halbachtest</t>
  </si>
  <si>
    <t>(A)</t>
  </si>
  <si>
    <t>check=average</t>
  </si>
  <si>
    <t>Latex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</si>
</sst>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D45EF-782D-41B9-A9AB-8A73B90700E9}">
  <dimension ref="A1:AF31"/>
  <sheetViews>
    <sheetView tabSelected="1" workbookViewId="0"/>
  </sheetViews>
  <sheetFormatPr defaultRowHeight="14.4" x14ac:dyDescent="0.3"/>
  <cols>
    <col min="2" max="2" width="31.77734375" bestFit="1" customWidth="1"/>
    <col min="32" max="32" width="8.88671875" customWidth="1"/>
  </cols>
  <sheetData>
    <row r="1" spans="1:32" x14ac:dyDescent="0.3">
      <c r="C1" s="2" t="s">
        <v>7</v>
      </c>
      <c r="E1" s="1" t="s">
        <v>39</v>
      </c>
      <c r="G1" s="3" t="s">
        <v>36</v>
      </c>
      <c r="J1" s="2" t="s">
        <v>19</v>
      </c>
      <c r="N1" t="s">
        <v>33</v>
      </c>
      <c r="Q1" s="2" t="s">
        <v>35</v>
      </c>
      <c r="S1" t="s">
        <v>20</v>
      </c>
      <c r="U1" t="s">
        <v>21</v>
      </c>
      <c r="W1" s="2" t="s">
        <v>22</v>
      </c>
      <c r="AC1" t="s">
        <v>25</v>
      </c>
    </row>
    <row r="2" spans="1:32" x14ac:dyDescent="0.3">
      <c r="A2" t="s">
        <v>0</v>
      </c>
      <c r="B2" t="s">
        <v>1</v>
      </c>
      <c r="C2" t="s">
        <v>14</v>
      </c>
      <c r="D2" t="s">
        <v>15</v>
      </c>
      <c r="E2" t="s">
        <v>8</v>
      </c>
      <c r="F2" t="s">
        <v>9</v>
      </c>
      <c r="G2" t="s">
        <v>29</v>
      </c>
      <c r="H2" t="s">
        <v>20</v>
      </c>
      <c r="I2" t="s">
        <v>21</v>
      </c>
      <c r="J2" t="s">
        <v>16</v>
      </c>
      <c r="K2" t="s">
        <v>17</v>
      </c>
      <c r="L2" t="s">
        <v>18</v>
      </c>
      <c r="M2" t="s">
        <v>32</v>
      </c>
      <c r="N2" t="s">
        <v>16</v>
      </c>
      <c r="O2" t="s">
        <v>17</v>
      </c>
      <c r="P2" t="s">
        <v>32</v>
      </c>
      <c r="Q2" t="s">
        <v>16</v>
      </c>
      <c r="R2" t="s">
        <v>17</v>
      </c>
      <c r="S2" t="s">
        <v>16</v>
      </c>
      <c r="T2" t="s">
        <v>17</v>
      </c>
      <c r="U2" t="s">
        <v>16</v>
      </c>
      <c r="V2" t="s">
        <v>17</v>
      </c>
      <c r="W2" t="s">
        <v>8</v>
      </c>
      <c r="X2" t="s">
        <v>9</v>
      </c>
      <c r="Y2" t="s">
        <v>26</v>
      </c>
      <c r="Z2" t="s">
        <v>23</v>
      </c>
      <c r="AA2" t="s">
        <v>37</v>
      </c>
      <c r="AB2" t="s">
        <v>24</v>
      </c>
      <c r="AC2" t="s">
        <v>16</v>
      </c>
      <c r="AD2" t="s">
        <v>17</v>
      </c>
      <c r="AE2" t="s">
        <v>44</v>
      </c>
    </row>
    <row r="3" spans="1:32" x14ac:dyDescent="0.3">
      <c r="A3" t="s">
        <v>2</v>
      </c>
      <c r="B3" t="s">
        <v>40</v>
      </c>
      <c r="C3">
        <v>10494.33</v>
      </c>
      <c r="D3">
        <v>21013.8</v>
      </c>
      <c r="E3" s="1">
        <v>3.6336599999999997E-2</v>
      </c>
      <c r="F3" s="1">
        <v>0.39430999999999999</v>
      </c>
      <c r="G3" s="1">
        <v>1.28150525194093</v>
      </c>
      <c r="H3" s="1">
        <v>43.44</v>
      </c>
      <c r="I3" s="1">
        <v>0</v>
      </c>
      <c r="J3">
        <v>1.2448481697538381</v>
      </c>
      <c r="K3">
        <v>1.6731288055615978</v>
      </c>
      <c r="L3">
        <v>0.116189500386223</v>
      </c>
      <c r="M3">
        <f>J3+K3+2*L3</f>
        <v>3.1503559760878819</v>
      </c>
      <c r="N3">
        <v>-7.1066004423367803E-3</v>
      </c>
      <c r="O3">
        <v>-3.1979701990515398E-2</v>
      </c>
      <c r="P3">
        <f>N3+O3</f>
        <v>-3.9086302432852181E-2</v>
      </c>
      <c r="Q3">
        <v>-0.38275499572232502</v>
      </c>
      <c r="R3">
        <v>-1.28150525194093</v>
      </c>
      <c r="S3">
        <v>43.44</v>
      </c>
      <c r="T3">
        <v>-41.13</v>
      </c>
      <c r="U3">
        <v>0</v>
      </c>
      <c r="V3">
        <v>0</v>
      </c>
      <c r="W3">
        <v>3.6336599999999997E-2</v>
      </c>
      <c r="X3">
        <v>0.39430999999999999</v>
      </c>
      <c r="Y3">
        <v>1.5345879139595799</v>
      </c>
      <c r="Z3">
        <v>4.49684614978677E-2</v>
      </c>
      <c r="AA3">
        <v>1.2325550165903643E-3</v>
      </c>
      <c r="AB3">
        <v>84.68949999999893</v>
      </c>
      <c r="AC3">
        <v>87.4285</v>
      </c>
      <c r="AD3">
        <v>94.414000000000001</v>
      </c>
      <c r="AE3">
        <f>(AC3*J3+AD3*K3)/M3</f>
        <v>84.689474231712495</v>
      </c>
      <c r="AF3">
        <f>AE3-AB3</f>
        <v>-2.5768286434413312E-5</v>
      </c>
    </row>
    <row r="4" spans="1:32" x14ac:dyDescent="0.3">
      <c r="A4" t="s">
        <v>3</v>
      </c>
      <c r="B4" t="s">
        <v>10</v>
      </c>
      <c r="C4">
        <v>10494.33</v>
      </c>
      <c r="D4">
        <v>21013.8</v>
      </c>
      <c r="E4">
        <v>3.5000000000000003E-2</v>
      </c>
      <c r="F4">
        <v>0.4</v>
      </c>
      <c r="G4">
        <v>2</v>
      </c>
      <c r="H4">
        <v>100</v>
      </c>
      <c r="I4">
        <v>0</v>
      </c>
      <c r="J4">
        <f>6*0.197197197197197</f>
        <v>1.1831831831831821</v>
      </c>
      <c r="K4">
        <f>6*0.198198198198198</f>
        <v>1.1891891891891881</v>
      </c>
      <c r="L4">
        <v>0.09</v>
      </c>
      <c r="M4">
        <f>J4+K4+2*L4</f>
        <v>2.5523723723723704</v>
      </c>
      <c r="N4">
        <f>2*0.0078967452548506</f>
        <v>1.5793490509701202E-2</v>
      </c>
      <c r="O4">
        <f>2*0.00793683025614426</f>
        <v>1.5873660512288518E-2</v>
      </c>
      <c r="P4">
        <f>N4+O4</f>
        <v>3.166715102198972E-2</v>
      </c>
      <c r="Q4">
        <v>0.86286286286286296</v>
      </c>
      <c r="R4">
        <v>0.86286286286286296</v>
      </c>
      <c r="S4">
        <v>55.1551551551551</v>
      </c>
      <c r="T4">
        <v>-69.369369369369394</v>
      </c>
      <c r="U4">
        <v>0</v>
      </c>
      <c r="V4">
        <v>0</v>
      </c>
      <c r="W4">
        <v>3.57472E-2</v>
      </c>
      <c r="X4">
        <v>0.39938000000000001</v>
      </c>
      <c r="Y4">
        <v>1.61395196018371</v>
      </c>
      <c r="Z4">
        <v>2.8607201304887322E-2</v>
      </c>
      <c r="AA4">
        <v>5.2503531955006011E-4</v>
      </c>
      <c r="AB4">
        <v>75.745809155000643</v>
      </c>
      <c r="AC4">
        <v>104.56100000000001</v>
      </c>
      <c r="AD4">
        <v>58.5411</v>
      </c>
      <c r="AE4">
        <f>(AC4*J4+AD4*K4)/M4</f>
        <v>75.745710991364092</v>
      </c>
      <c r="AF4">
        <f>AE4-AB4</f>
        <v>-9.816363655090754E-5</v>
      </c>
    </row>
    <row r="5" spans="1:32" x14ac:dyDescent="0.3">
      <c r="A5" t="s">
        <v>4</v>
      </c>
      <c r="B5" t="s">
        <v>11</v>
      </c>
      <c r="C5">
        <v>10494.33</v>
      </c>
      <c r="D5">
        <v>21013.8</v>
      </c>
      <c r="E5">
        <v>3.5000000000000003E-2</v>
      </c>
      <c r="F5">
        <v>0.4</v>
      </c>
      <c r="G5">
        <v>2</v>
      </c>
      <c r="H5">
        <v>100</v>
      </c>
      <c r="I5">
        <v>2000</v>
      </c>
      <c r="J5">
        <f>6*0.253253253253253</f>
        <v>1.5195195195195179</v>
      </c>
      <c r="K5">
        <f>6*0.241741741741742</f>
        <v>1.4504504504504521</v>
      </c>
      <c r="L5">
        <v>0.09</v>
      </c>
      <c r="M5">
        <f>J5+K5+2*L5</f>
        <v>3.1499699699699701</v>
      </c>
      <c r="N5">
        <f>2*0.00999759641920182</f>
        <v>1.999519283840364E-2</v>
      </c>
      <c r="O5">
        <f>2*0.00954316021832901</f>
        <v>1.9086320436658019E-2</v>
      </c>
      <c r="P5">
        <f>N5+O5</f>
        <v>3.9081513275061659E-2</v>
      </c>
      <c r="Q5">
        <v>0.958958958958959</v>
      </c>
      <c r="R5">
        <v>0.958958958958959</v>
      </c>
      <c r="S5">
        <v>59.959959959959903</v>
      </c>
      <c r="T5">
        <v>-89.189189189189193</v>
      </c>
      <c r="U5">
        <v>-1411.41141141141</v>
      </c>
      <c r="V5">
        <v>974.974974974975</v>
      </c>
      <c r="W5">
        <v>3.5161499999999998E-2</v>
      </c>
      <c r="X5">
        <v>0.39930900000000003</v>
      </c>
      <c r="Y5">
        <v>1.4921833571688701</v>
      </c>
      <c r="Z5">
        <v>2.3601844504960064E-2</v>
      </c>
      <c r="AA5">
        <v>3.4411774077991453E-4</v>
      </c>
      <c r="AB5">
        <v>44.287299999999163</v>
      </c>
      <c r="AC5">
        <v>59.318199999999997</v>
      </c>
      <c r="AD5">
        <v>34.036499999999997</v>
      </c>
      <c r="AE5">
        <f>(AC5*J5+AD5*K5)/M5</f>
        <v>44.28722205273894</v>
      </c>
      <c r="AF5">
        <f>AE5-AB5</f>
        <v>-7.7947260223254489E-5</v>
      </c>
    </row>
    <row r="6" spans="1:32" x14ac:dyDescent="0.3">
      <c r="A6" t="s">
        <v>5</v>
      </c>
      <c r="B6" t="s">
        <v>12</v>
      </c>
      <c r="C6">
        <v>9000</v>
      </c>
      <c r="D6">
        <v>21000</v>
      </c>
      <c r="E6">
        <v>0.04</v>
      </c>
      <c r="F6">
        <v>0.39</v>
      </c>
      <c r="G6">
        <v>2</v>
      </c>
      <c r="H6">
        <v>100</v>
      </c>
      <c r="I6">
        <v>400</v>
      </c>
      <c r="J6">
        <f>6*0.243743743743743</f>
        <v>1.462462462462458</v>
      </c>
      <c r="K6">
        <f>6*0.32932932932933</f>
        <v>1.9759759759759801</v>
      </c>
      <c r="L6">
        <v>0.09</v>
      </c>
      <c r="M6">
        <f>J6+K6+2*L6</f>
        <v>3.6184384384384383</v>
      </c>
      <c r="N6">
        <f>2*0.00954727924582834</f>
        <v>1.9094558491656682E-2</v>
      </c>
      <c r="O6">
        <f>2*0.0128996093300925</f>
        <v>2.5799218660184999E-2</v>
      </c>
      <c r="P6">
        <f>N6+O6</f>
        <v>4.4893777151841681E-2</v>
      </c>
      <c r="Q6">
        <v>0.82282282282282304</v>
      </c>
      <c r="R6">
        <v>0.82282282282282304</v>
      </c>
      <c r="S6">
        <v>45.3453453453454</v>
      </c>
      <c r="T6">
        <v>-48.548548548548602</v>
      </c>
      <c r="U6">
        <v>-400</v>
      </c>
      <c r="V6">
        <v>339.93993993994002</v>
      </c>
      <c r="W6">
        <v>4.2600600000000002E-2</v>
      </c>
      <c r="X6">
        <v>0.38982499999999998</v>
      </c>
      <c r="Y6">
        <v>1.4689339773278001</v>
      </c>
      <c r="Z6">
        <v>4.173854153072902E-2</v>
      </c>
      <c r="AA6">
        <v>9.1639442013002892E-4</v>
      </c>
      <c r="AB6">
        <v>54.376905870100245</v>
      </c>
      <c r="AC6">
        <v>72.177099999999996</v>
      </c>
      <c r="AD6">
        <v>46.155999999999999</v>
      </c>
      <c r="AE6">
        <f>(AC6*J6+AD6*K6)/M6</f>
        <v>54.376894866134386</v>
      </c>
      <c r="AF6">
        <f>AE6-AB6</f>
        <v>-1.1003965859401887E-5</v>
      </c>
    </row>
    <row r="7" spans="1:32" x14ac:dyDescent="0.3">
      <c r="A7" t="s">
        <v>6</v>
      </c>
      <c r="B7" t="s">
        <v>13</v>
      </c>
      <c r="C7">
        <v>9000</v>
      </c>
      <c r="D7">
        <v>21000</v>
      </c>
      <c r="E7">
        <v>0.05</v>
      </c>
      <c r="F7">
        <v>0.32</v>
      </c>
      <c r="G7">
        <v>2</v>
      </c>
      <c r="H7">
        <v>100</v>
      </c>
      <c r="I7">
        <v>400</v>
      </c>
      <c r="J7">
        <f>6*0.23023023023023</f>
        <v>1.38138138138138</v>
      </c>
      <c r="K7">
        <f>6*0.298298298298298</f>
        <v>1.7897897897897881</v>
      </c>
      <c r="L7">
        <v>0.09</v>
      </c>
      <c r="M7">
        <f>J7+K7+2*L7</f>
        <v>3.3511711711711683</v>
      </c>
      <c r="N7">
        <f>2*0.00905577216061087</f>
        <v>1.811154432122174E-2</v>
      </c>
      <c r="O7">
        <f>2*0.0117331308863567</f>
        <v>2.3466261772713399E-2</v>
      </c>
      <c r="P7">
        <f>N7+O7</f>
        <v>4.1577806093935139E-2</v>
      </c>
      <c r="Q7">
        <v>0.81481481481481499</v>
      </c>
      <c r="R7">
        <v>0.81481481481481499</v>
      </c>
      <c r="S7">
        <v>47.547547547547602</v>
      </c>
      <c r="T7">
        <v>-50.950950950950997</v>
      </c>
      <c r="U7">
        <v>-400</v>
      </c>
      <c r="V7">
        <v>351.95195195195203</v>
      </c>
      <c r="W7">
        <v>5.0036200000000003E-2</v>
      </c>
      <c r="X7">
        <v>0.31935200000000002</v>
      </c>
      <c r="Y7">
        <v>1.54380073411074</v>
      </c>
      <c r="Z7">
        <v>4.2966000507848968E-2</v>
      </c>
      <c r="AA7">
        <v>9.0987375841011797E-4</v>
      </c>
      <c r="AB7">
        <v>64.243646053600401</v>
      </c>
      <c r="AC7">
        <v>86.073999999999998</v>
      </c>
      <c r="AD7">
        <v>53.855699999999999</v>
      </c>
      <c r="AE7">
        <f>(AC7*J7+AD7*K7)/M7</f>
        <v>64.243630661146653</v>
      </c>
      <c r="AF7">
        <f>AE7-AB7</f>
        <v>-1.5392453747153922E-5</v>
      </c>
    </row>
    <row r="8" spans="1:32" x14ac:dyDescent="0.3">
      <c r="A8" t="s">
        <v>34</v>
      </c>
      <c r="B8" t="s">
        <v>38</v>
      </c>
      <c r="C8">
        <v>9000</v>
      </c>
      <c r="D8">
        <v>21000</v>
      </c>
      <c r="E8" s="1">
        <v>3.6384199999999998E-2</v>
      </c>
      <c r="F8" s="1">
        <v>0.39928399999999997</v>
      </c>
      <c r="G8" s="1">
        <f>MAX(ABS(Q8),ABS(R8))</f>
        <v>0.92292292300000001</v>
      </c>
      <c r="H8" s="1">
        <f>MAX(ABS(S8),ABS(T8))</f>
        <v>84.784784779999995</v>
      </c>
      <c r="I8" s="1">
        <f>MAX(ABS(U8),ABS(V8))</f>
        <v>1227.2272270000001</v>
      </c>
      <c r="J8">
        <v>1.4474474470000001</v>
      </c>
      <c r="K8">
        <v>1.474474474</v>
      </c>
      <c r="L8">
        <v>0.09</v>
      </c>
      <c r="M8">
        <f>J8+K8+2*L8</f>
        <v>3.1019219210000002</v>
      </c>
      <c r="N8">
        <f>2*0.00953235093129608</f>
        <v>1.9064701862592161E-2</v>
      </c>
      <c r="O8">
        <f>2*0.00971034088632179</f>
        <v>1.942068177264358E-2</v>
      </c>
      <c r="P8">
        <f>N8+O8</f>
        <v>3.8485383635235737E-2</v>
      </c>
      <c r="Q8">
        <v>0.92292292300000001</v>
      </c>
      <c r="R8">
        <v>0.92292292300000001</v>
      </c>
      <c r="S8">
        <v>58.758758759999999</v>
      </c>
      <c r="T8">
        <v>-84.784784779999995</v>
      </c>
      <c r="U8">
        <v>-1227.2272270000001</v>
      </c>
      <c r="V8">
        <v>918.91891889999999</v>
      </c>
      <c r="W8">
        <v>3.6384199999999998E-2</v>
      </c>
      <c r="X8">
        <v>0.39928399999999997</v>
      </c>
      <c r="Y8">
        <v>1.47896416595708</v>
      </c>
      <c r="Z8">
        <v>2.7449040378128363E-2</v>
      </c>
      <c r="AA8">
        <v>3.861613599100977E-4</v>
      </c>
      <c r="AB8">
        <f>100*(200-199.525859535683)</f>
        <v>47.414046431700285</v>
      </c>
      <c r="AC8">
        <v>59.400700000000001</v>
      </c>
      <c r="AD8">
        <v>41.435299999999998</v>
      </c>
      <c r="AE8">
        <f>(AC8*J8+AD8*K8)/M8</f>
        <v>47.414050863708091</v>
      </c>
      <c r="AF8">
        <f>AE8-AB8</f>
        <v>4.4320078060877677E-6</v>
      </c>
    </row>
    <row r="10" spans="1:32" x14ac:dyDescent="0.3">
      <c r="C10" t="s">
        <v>27</v>
      </c>
    </row>
    <row r="11" spans="1:32" x14ac:dyDescent="0.3">
      <c r="C11">
        <v>80.599999999999994</v>
      </c>
    </row>
    <row r="13" spans="1:32" x14ac:dyDescent="0.3">
      <c r="A13" t="s">
        <v>43</v>
      </c>
      <c r="B13" t="s">
        <v>42</v>
      </c>
      <c r="C13" t="s">
        <v>41</v>
      </c>
    </row>
    <row r="14" spans="1:32" x14ac:dyDescent="0.3">
      <c r="A14" t="s">
        <v>3</v>
      </c>
      <c r="B14" t="s">
        <v>10</v>
      </c>
      <c r="C14" t="s">
        <v>28</v>
      </c>
    </row>
    <row r="15" spans="1:32" x14ac:dyDescent="0.3">
      <c r="A15" t="s">
        <v>4</v>
      </c>
      <c r="B15" t="s">
        <v>11</v>
      </c>
      <c r="C15" t="s">
        <v>28</v>
      </c>
    </row>
    <row r="16" spans="1:32" x14ac:dyDescent="0.3">
      <c r="A16" t="s">
        <v>5</v>
      </c>
      <c r="B16" t="s">
        <v>12</v>
      </c>
      <c r="C16" t="s">
        <v>30</v>
      </c>
    </row>
    <row r="17" spans="1:23" x14ac:dyDescent="0.3">
      <c r="A17" t="s">
        <v>6</v>
      </c>
      <c r="B17" t="s">
        <v>13</v>
      </c>
      <c r="C17" t="s">
        <v>31</v>
      </c>
    </row>
    <row r="18" spans="1:23" x14ac:dyDescent="0.3">
      <c r="A18" t="s">
        <v>34</v>
      </c>
      <c r="B18" t="s">
        <v>38</v>
      </c>
      <c r="C18" t="s">
        <v>28</v>
      </c>
    </row>
    <row r="20" spans="1:23" x14ac:dyDescent="0.3">
      <c r="A20" t="s">
        <v>45</v>
      </c>
    </row>
    <row r="21" spans="1:23" x14ac:dyDescent="0.3">
      <c r="C21" t="str">
        <f>A3&amp;" &amp; "&amp;ROUND(C3/1000,3)&amp;" &amp; "&amp;ROUND(D3/1000,3)&amp;" &amp; "&amp;ROUND(E3,4)&amp;"* &amp; "&amp;ROUND(F3,4)&amp;"* \\"</f>
        <v>A &amp; 10.494 &amp; 21.014 &amp; 0.0363* &amp; 0.3943* \\</v>
      </c>
      <c r="J21" t="str">
        <f>A3&amp;" &amp; "&amp;ROUND(J3,4)&amp;" &amp; "&amp;ROUND(K3,4)&amp;" &amp; "&amp;ROUND(L3,4)&amp;" &amp; "&amp;ROUND(M3,4)&amp;" &amp; "&amp;ROUND(N3*1000,2)&amp;" &amp; "&amp;ROUND(O3*1000,2)&amp;" &amp; "&amp;ROUND(P3*1000,2)&amp;" \\"</f>
        <v>A &amp; 1.2448 &amp; 1.6731 &amp; 0.1162 &amp; 3.1504 &amp; -7.11 &amp; -31.98 &amp; -39.09 \\</v>
      </c>
      <c r="Q21" t="str">
        <f>A3&amp;" &amp; "&amp;ROUND(Q3,4)&amp;" &amp; "&amp;ROUND(R3,4)&amp;" &amp; "&amp;ROUND(S3,3)&amp;" &amp; "&amp;ROUND(T3,3)&amp;" &amp; "&amp;ROUND(U3,2)&amp;" &amp; "&amp;ROUND(V3,2)&amp;" \\"</f>
        <v>A &amp; -0.3828 &amp; -1.2815 &amp; 43.44 &amp; -41.13 &amp; 0 &amp; 0 \\</v>
      </c>
      <c r="W21" t="str">
        <f>A3&amp;" &amp; "&amp;ROUND(W3,4)&amp;" &amp; "&amp;ROUND(X3,4)&amp;" &amp; "&amp;ROUND(Y3,4)&amp;" &amp; "&amp;ROUND(Z3*1000,3)&amp;" &amp; "&amp;ROUND(AA3*1000,3)&amp;" &amp; "&amp;ROUND(AB3,2)&amp;" &amp; "&amp;ROUND(AC3,2)&amp;" &amp; "&amp;ROUND(AD3,2)&amp;" \\"</f>
        <v>A &amp; 0.0363 &amp; 0.3943 &amp; 1.5346 &amp; 44.968 &amp; 1.233 &amp; 84.69 &amp; 87.43 &amp; 94.41 \\</v>
      </c>
    </row>
    <row r="22" spans="1:23" x14ac:dyDescent="0.3">
      <c r="C22" t="str">
        <f t="shared" ref="C22:C25" si="0">A4&amp;" &amp; "&amp;ROUND(C4/1000,3)&amp;" &amp; "&amp;ROUND(D4/1000,3)&amp;" &amp; "&amp;ROUND(E4,4)&amp;" &amp; "&amp;ROUND(F4,4)&amp;" \\"</f>
        <v>B &amp; 10.494 &amp; 21.014 &amp; 0.035 &amp; 0.4 \\</v>
      </c>
      <c r="J22" t="str">
        <f t="shared" ref="J22:J25" si="1">A4&amp;" &amp; "&amp;ROUND(J4,4)&amp;" &amp; "&amp;ROUND(K4,4)&amp;" &amp; "&amp;ROUND(L4,4)&amp;" &amp; "&amp;ROUND(M4,4)&amp;" &amp; "&amp;ROUND(N4*1000,2)&amp;" &amp; "&amp;ROUND(O4*1000,2)&amp;" &amp; "&amp;ROUND(P4*1000,2)&amp;" \\"</f>
        <v>B &amp; 1.1832 &amp; 1.1892 &amp; 0.09 &amp; 2.5524 &amp; 15.79 &amp; 15.87 &amp; 31.67 \\</v>
      </c>
      <c r="Q22" t="str">
        <f t="shared" ref="Q22:Q25" si="2">A4&amp;" &amp; "&amp;ROUND(Q4,4)&amp;" &amp; "&amp;ROUND(R4,4)&amp;" &amp; "&amp;ROUND(S4,3)&amp;" &amp; "&amp;ROUND(T4,3)&amp;" &amp; "&amp;ROUND(U4,2)&amp;" &amp; "&amp;ROUND(V4,2)&amp;" \\"</f>
        <v>B &amp; 0.8629 &amp; 0.8629 &amp; 55.155 &amp; -69.369 &amp; 0 &amp; 0 \\</v>
      </c>
      <c r="W22" t="str">
        <f t="shared" ref="W22:W25" si="3">A4&amp;" &amp; "&amp;ROUND(W4,4)&amp;" &amp; "&amp;ROUND(X4,4)&amp;" &amp; "&amp;ROUND(Y4,4)&amp;" &amp; "&amp;ROUND(Z4*1000,3)&amp;" &amp; "&amp;ROUND(AA4*1000,3)&amp;" &amp; "&amp;ROUND(AB4,2)&amp;" &amp; "&amp;ROUND(AC4,2)&amp;" &amp; "&amp;ROUND(AD4,2)&amp;" \\"</f>
        <v>B &amp; 0.0357 &amp; 0.3994 &amp; 1.614 &amp; 28.607 &amp; 0.525 &amp; 75.75 &amp; 104.56 &amp; 58.54 \\</v>
      </c>
    </row>
    <row r="23" spans="1:23" x14ac:dyDescent="0.3">
      <c r="C23" t="str">
        <f t="shared" si="0"/>
        <v>C &amp; 10.494 &amp; 21.014 &amp; 0.035 &amp; 0.4 \\</v>
      </c>
      <c r="J23" t="str">
        <f t="shared" si="1"/>
        <v>C &amp; 1.5195 &amp; 1.4505 &amp; 0.09 &amp; 3.15 &amp; 20 &amp; 19.09 &amp; 39.08 \\</v>
      </c>
      <c r="Q23" t="str">
        <f t="shared" si="2"/>
        <v>C &amp; 0.959 &amp; 0.959 &amp; 59.96 &amp; -89.189 &amp; -1411.41 &amp; 974.97 \\</v>
      </c>
      <c r="W23" t="str">
        <f t="shared" si="3"/>
        <v>C &amp; 0.0352 &amp; 0.3993 &amp; 1.4922 &amp; 23.602 &amp; 0.344 &amp; 44.29 &amp; 59.32 &amp; 34.04 \\</v>
      </c>
    </row>
    <row r="24" spans="1:23" x14ac:dyDescent="0.3">
      <c r="C24" t="str">
        <f t="shared" si="0"/>
        <v>D &amp; 9 &amp; 21 &amp; 0.04 &amp; 0.39 \\</v>
      </c>
      <c r="J24" t="str">
        <f t="shared" si="1"/>
        <v>D &amp; 1.4625 &amp; 1.976 &amp; 0.09 &amp; 3.6184 &amp; 19.09 &amp; 25.8 &amp; 44.89 \\</v>
      </c>
      <c r="Q24" t="str">
        <f t="shared" si="2"/>
        <v>D &amp; 0.8228 &amp; 0.8228 &amp; 45.345 &amp; -48.549 &amp; -400 &amp; 339.94 \\</v>
      </c>
      <c r="W24" t="str">
        <f t="shared" si="3"/>
        <v>D &amp; 0.0426 &amp; 0.3898 &amp; 1.4689 &amp; 41.739 &amp; 0.916 &amp; 54.38 &amp; 72.18 &amp; 46.16 \\</v>
      </c>
    </row>
    <row r="25" spans="1:23" x14ac:dyDescent="0.3">
      <c r="C25" t="str">
        <f t="shared" si="0"/>
        <v>E &amp; 9 &amp; 21 &amp; 0.05 &amp; 0.32 \\</v>
      </c>
      <c r="J25" t="str">
        <f t="shared" si="1"/>
        <v>E &amp; 1.3814 &amp; 1.7898 &amp; 0.09 &amp; 3.3512 &amp; 18.11 &amp; 23.47 &amp; 41.58 \\</v>
      </c>
      <c r="Q25" t="str">
        <f t="shared" si="2"/>
        <v>E &amp; 0.8148 &amp; 0.8148 &amp; 47.548 &amp; -50.951 &amp; -400 &amp; 351.95 \\</v>
      </c>
      <c r="W25" t="str">
        <f t="shared" si="3"/>
        <v>E &amp; 0.05 &amp; 0.3194 &amp; 1.5438 &amp; 42.966 &amp; 0.91 &amp; 64.24 &amp; 86.07 &amp; 53.86 \\</v>
      </c>
    </row>
    <row r="27" spans="1:23" x14ac:dyDescent="0.3">
      <c r="C27" t="str">
        <f>A3&amp;" &amp; "&amp;ROUND(G3,4)&amp;"* &amp; "&amp;ROUND(H3,4)&amp;"* &amp; "&amp;ROUND(I3,4)&amp;"* \\"</f>
        <v>A &amp; 1.2815* &amp; 43.44* &amp; 0* \\</v>
      </c>
    </row>
    <row r="28" spans="1:23" x14ac:dyDescent="0.3">
      <c r="C28" t="str">
        <f>A4&amp;" &amp; "&amp;ROUND(G4,4)&amp;" &amp; "&amp;ROUND(H4,4)&amp;" &amp; "&amp;ROUND(I4,4)&amp;" \\"</f>
        <v>B &amp; 2 &amp; 100 &amp; 0 \\</v>
      </c>
    </row>
    <row r="29" spans="1:23" x14ac:dyDescent="0.3">
      <c r="C29" t="str">
        <f t="shared" ref="C29:C31" si="4">A5&amp;" &amp; "&amp;ROUND(G5,4)&amp;" &amp; "&amp;ROUND(H5,4)&amp;" &amp; "&amp;ROUND(I5,4)&amp;" \\"</f>
        <v>C &amp; 2 &amp; 100 &amp; 2000 \\</v>
      </c>
    </row>
    <row r="30" spans="1:23" x14ac:dyDescent="0.3">
      <c r="C30" t="str">
        <f t="shared" si="4"/>
        <v>D &amp; 2 &amp; 100 &amp; 400 \\</v>
      </c>
    </row>
    <row r="31" spans="1:23" x14ac:dyDescent="0.3">
      <c r="C31" t="str">
        <f t="shared" si="4"/>
        <v>E &amp; 2 &amp; 100 &amp; 400 \\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2024-04-23T14:03:08Z</dcterms:created>
  <dcterms:modified xsi:type="dcterms:W3CDTF">2024-04-23T18:13:37Z</dcterms:modified>
</cp:coreProperties>
</file>